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bmcd\dfs\Clients\TND\ColumbiaMO\104146_RouteEeval\Design\Overhead\Modeling\Report\Cost Sheets\"/>
    </mc:Choice>
  </mc:AlternateContent>
  <xr:revisionPtr revIDLastSave="0" documentId="13_ncr:1_{FC0E5FA6-A6FD-4C9A-86DB-88C1D5DB5A9C}" xr6:coauthVersionLast="34" xr6:coauthVersionMax="34" xr10:uidLastSave="{00000000-0000-0000-0000-000000000000}"/>
  <bookViews>
    <workbookView xWindow="156" yWindow="0" windowWidth="14976" windowHeight="1356" xr2:uid="{00000000-000D-0000-FFFF-FFFF00000000}"/>
  </bookViews>
  <sheets>
    <sheet name="Cost Est Steel - 10-03-2013" sheetId="6" r:id="rId1"/>
  </sheets>
  <definedNames>
    <definedName name="_xlnm.Print_Area" localSheetId="0">'Cost Est Steel - 10-03-2013'!$A$1:$I$64</definedName>
  </definedNames>
  <calcPr calcId="179017"/>
</workbook>
</file>

<file path=xl/calcChain.xml><?xml version="1.0" encoding="utf-8"?>
<calcChain xmlns="http://schemas.openxmlformats.org/spreadsheetml/2006/main">
  <c r="F26" i="6" l="1"/>
  <c r="D26" i="6"/>
  <c r="F19" i="6"/>
  <c r="E19" i="6"/>
  <c r="D19" i="6"/>
  <c r="C19" i="6"/>
  <c r="H14" i="6" l="1"/>
  <c r="G19" i="6"/>
  <c r="H12" i="6"/>
  <c r="H16" i="6"/>
  <c r="H18" i="6"/>
  <c r="H24" i="6"/>
  <c r="H25" i="6"/>
  <c r="H22" i="6" l="1"/>
  <c r="H23" i="6"/>
  <c r="H37" i="6" l="1"/>
  <c r="H36" i="6"/>
  <c r="H15" i="6" l="1"/>
  <c r="H13" i="6"/>
  <c r="H17" i="6" l="1"/>
  <c r="H19" i="6" s="1"/>
  <c r="H57" i="6"/>
  <c r="H33" i="6"/>
  <c r="H48" i="6" s="1"/>
  <c r="H26" i="6"/>
  <c r="H35" i="6" l="1"/>
  <c r="H38" i="6" s="1"/>
  <c r="H39" i="6" s="1"/>
  <c r="H40" i="6" s="1"/>
  <c r="H47" i="6" l="1"/>
  <c r="H45" i="6"/>
  <c r="H46" i="6"/>
  <c r="H43" i="6"/>
  <c r="H49" i="6" l="1"/>
  <c r="H50" i="6" l="1"/>
  <c r="H59" i="6" l="1"/>
  <c r="H60" i="6" s="1"/>
  <c r="H62" i="6" s="1"/>
  <c r="H63" i="6" s="1"/>
</calcChain>
</file>

<file path=xl/sharedStrings.xml><?xml version="1.0" encoding="utf-8"?>
<sst xmlns="http://schemas.openxmlformats.org/spreadsheetml/2006/main" count="100" uniqueCount="84">
  <si>
    <t>Item</t>
  </si>
  <si>
    <t>Notes</t>
  </si>
  <si>
    <t>REV. NOTES:</t>
  </si>
  <si>
    <t xml:space="preserve">CLIENT:  </t>
  </si>
  <si>
    <t xml:space="preserve">PROJECT:  </t>
  </si>
  <si>
    <t xml:space="preserve">PREPARED BY:  </t>
  </si>
  <si>
    <t xml:space="preserve">DATE:  </t>
  </si>
  <si>
    <t xml:space="preserve">REVISION:  </t>
  </si>
  <si>
    <t>Subtotals --&gt;</t>
  </si>
  <si>
    <t>Title Searches</t>
  </si>
  <si>
    <t>Acquisitions</t>
  </si>
  <si>
    <t>Crossing Permits</t>
  </si>
  <si>
    <t>Surveying</t>
  </si>
  <si>
    <t>ROW (Acquisitions &amp; Permits)</t>
  </si>
  <si>
    <t xml:space="preserve">DOCUMENT: </t>
  </si>
  <si>
    <t>Engineering Opinion of Cost</t>
  </si>
  <si>
    <t xml:space="preserve">10% Contingency = </t>
  </si>
  <si>
    <t>Item No.</t>
  </si>
  <si>
    <t>Structures</t>
  </si>
  <si>
    <t>Material - Pole</t>
  </si>
  <si>
    <t>Material - Assemblies</t>
  </si>
  <si>
    <t>Quantity</t>
  </si>
  <si>
    <t>Subtotal per Structure</t>
  </si>
  <si>
    <t>Conductor &amp; Shield Wire</t>
  </si>
  <si>
    <t>Misc.: Stringing Setups, Xings, Etc.</t>
  </si>
  <si>
    <t xml:space="preserve">Summary of Material &amp; Construction Costs Only = </t>
  </si>
  <si>
    <t xml:space="preserve">Subtotal with Contingencies = </t>
  </si>
  <si>
    <t xml:space="preserve">% of Base Cost = </t>
  </si>
  <si>
    <t xml:space="preserve">Per Mile Cost = </t>
  </si>
  <si>
    <t xml:space="preserve">Estmated Lump Sum Cost = </t>
  </si>
  <si>
    <t>Environmental Permits, SWPPP Preparation, Monitoring</t>
  </si>
  <si>
    <t>Proj Mgmt, Field Coordination &amp; Inspection, Etc.</t>
  </si>
  <si>
    <t xml:space="preserve">20% Material Contingency = </t>
  </si>
  <si>
    <t>Also is intended to account for any markup costs (~10%)</t>
  </si>
  <si>
    <t>Complete Engineering (Line Design, Fdtns, Constr Docs &amp; Dwgs)</t>
  </si>
  <si>
    <t>EPC Construction Contract Adder</t>
  </si>
  <si>
    <t>Assumes 12-week construction schedule w/ NO full-time on-site safety coordinator</t>
  </si>
  <si>
    <t>Other Construction-Related Costs</t>
  </si>
  <si>
    <t>Mobilization / De-Mobilization</t>
  </si>
  <si>
    <t>Construction Yard Setup, Security, Material Storage</t>
  </si>
  <si>
    <t>ROW Access, SWPPP</t>
  </si>
  <si>
    <t>ROW Restoration</t>
  </si>
  <si>
    <t xml:space="preserve">Per Mile Base Cost = </t>
  </si>
  <si>
    <t xml:space="preserve">% of Construction Cost = </t>
  </si>
  <si>
    <t xml:space="preserve">30% Construction Contingency = </t>
  </si>
  <si>
    <t>Contingency on Structure &amp; Wire labor only: Construction costs may vary significantly based on market conditions, contractor availability, &amp; overall schedule requirements</t>
  </si>
  <si>
    <t xml:space="preserve">Summary of PM, Engr, Surveying, &amp; Geotech; and ROW, Permitting, Etc. Costs Only = </t>
  </si>
  <si>
    <t>b. Any portion of the line that may be routed underground, distribution or otherwise.</t>
  </si>
  <si>
    <t>Splice Boxes at Substations and Junction Points</t>
  </si>
  <si>
    <t>4 locations for splice boxes</t>
  </si>
  <si>
    <t>Construction T&amp;D</t>
  </si>
  <si>
    <t>Survey Lump Sum Cost=</t>
  </si>
  <si>
    <t>City of Columbia Water &amp; Light Department</t>
  </si>
  <si>
    <t>Mill Creek 161-kV Transmission Line Project</t>
  </si>
  <si>
    <t>a. Substation</t>
  </si>
  <si>
    <t>Steel Running Angle (16-30)</t>
  </si>
  <si>
    <t>Steel Running Angle (5-15)</t>
  </si>
  <si>
    <t>Steel Tangent</t>
  </si>
  <si>
    <t>KAK/JLT, Sega, Inc.</t>
  </si>
  <si>
    <t>c.  Existing 69-kV along route has been considered for double circuit.</t>
  </si>
  <si>
    <t>Rev. 0: Costs below are intended to account for 7.7 miles of OH Line Construction only. No costs are included that may additonally account for:</t>
  </si>
  <si>
    <t>Design, 161-kV using Self-Supporting Steel Structures on Foundations, 7.7 Miles</t>
  </si>
  <si>
    <t>Double Circuit Steel Dead End Structure</t>
  </si>
  <si>
    <t>Double Circuit Steel Running Angle (5-15)</t>
  </si>
  <si>
    <t>Double Circuit Steel Running Angle (16-30)</t>
  </si>
  <si>
    <t>Double Circuit Steel Tangent</t>
  </si>
  <si>
    <t>Est. LS for 7.7 mile design; Includes setups for stringing, contractor-provided guard structures for road &amp; line xings, etc.</t>
  </si>
  <si>
    <t xml:space="preserve">Cost for 7.7 OH Line, Total Project = </t>
  </si>
  <si>
    <t xml:space="preserve">Cost for 7.7 Mile OH Line, Base Cost = </t>
  </si>
  <si>
    <t>Multiply previous "Per Mile Base Cost" by 7.7</t>
  </si>
  <si>
    <t>Client-Mgmt Costs &amp; Consultants (Engg, Public Involvement, Real Estate Assessment and Acquisition)</t>
  </si>
  <si>
    <t>Foundations</t>
  </si>
  <si>
    <t>Staking</t>
  </si>
  <si>
    <t>Real Estate</t>
  </si>
  <si>
    <t>Stakeholder Engagement &amp; Public Relations</t>
  </si>
  <si>
    <t>Conductor, 795 kcmil ACSR "Drake", 123,650-ft</t>
  </si>
  <si>
    <t>Shield Wire, 0.506" 24-Fiber OPGW, 41,200-ft</t>
  </si>
  <si>
    <t>Divide previous "Subtotal with Contingencies" by 7.7 + Construction-Other costs by 7.7</t>
  </si>
  <si>
    <t>Assumed direct embed foundation</t>
  </si>
  <si>
    <t>Assume based on construction-labor, other-, &amp; contingency cost only; Adder may +/- based on overall amount</t>
  </si>
  <si>
    <t>Eng &amp; Proj Mgmt</t>
  </si>
  <si>
    <t>Rev 2 - BMCD</t>
  </si>
  <si>
    <t>Rev. 1 update costs</t>
  </si>
  <si>
    <t>Rev. 2 remove wood tab per City, update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</si>
</sst>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d\-mmm\-yyyy;@"/>
    <numFmt numFmtId="165" formatCode="[$$-409]#,##0"/>
    <numFmt numFmtId="166" formatCode="&quot;$&quot;#,##0"/>
    <numFmt numFmtId="167" formatCode="0.0%"/>
    <numFmt numFmtId="168" formatCode="[$$-409]#,##0.00"/>
    <numFmt numFmtId="169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double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8" xfId="0" applyFill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0" fillId="0" borderId="4" xfId="0" applyBorder="1" applyAlignment="1">
      <alignment horizontal="right"/>
    </xf>
    <xf numFmtId="165" fontId="3" fillId="0" borderId="4" xfId="0" applyNumberFormat="1" applyFont="1" applyBorder="1" applyAlignment="1">
      <alignment horizontal="center"/>
    </xf>
    <xf numFmtId="0" fontId="0" fillId="0" borderId="0" xfId="0" applyBorder="1" applyAlignment="1">
      <alignment horizontal="left" indent="3"/>
    </xf>
    <xf numFmtId="0" fontId="0" fillId="0" borderId="0" xfId="0" applyFill="1" applyBorder="1" applyAlignment="1">
      <alignment horizontal="left" indent="3"/>
    </xf>
    <xf numFmtId="0" fontId="3" fillId="0" borderId="2" xfId="0" applyFont="1" applyFill="1" applyBorder="1" applyAlignment="1">
      <alignment horizontal="center"/>
    </xf>
    <xf numFmtId="0" fontId="0" fillId="0" borderId="1" xfId="0" applyFill="1" applyBorder="1" applyAlignment="1">
      <alignment horizontal="right"/>
    </xf>
    <xf numFmtId="165" fontId="3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7" xfId="0" applyFill="1" applyBorder="1" applyAlignment="1">
      <alignment horizontal="center" wrapText="1"/>
    </xf>
    <xf numFmtId="17" fontId="3" fillId="0" borderId="1" xfId="0" quotePrefix="1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65" fontId="3" fillId="0" borderId="1" xfId="0" quotePrefix="1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"/>
    </xf>
    <xf numFmtId="168" fontId="3" fillId="0" borderId="1" xfId="0" applyNumberFormat="1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 vertical="center"/>
    </xf>
    <xf numFmtId="169" fontId="0" fillId="0" borderId="0" xfId="1" applyNumberFormat="1" applyFont="1" applyFill="1" applyAlignment="1">
      <alignment horizontal="left" indent="6"/>
    </xf>
    <xf numFmtId="0" fontId="0" fillId="0" borderId="1" xfId="0" applyFill="1" applyBorder="1" applyAlignment="1">
      <alignment horizontal="center"/>
    </xf>
    <xf numFmtId="43" fontId="0" fillId="0" borderId="0" xfId="1" applyFont="1" applyFill="1" applyAlignment="1">
      <alignment horizontal="left" indent="6"/>
    </xf>
    <xf numFmtId="3" fontId="5" fillId="0" borderId="1" xfId="0" applyNumberFormat="1" applyFont="1" applyFill="1" applyBorder="1" applyAlignment="1">
      <alignment horizontal="center"/>
    </xf>
    <xf numFmtId="167" fontId="3" fillId="0" borderId="1" xfId="0" applyNumberFormat="1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  <xf numFmtId="0" fontId="3" fillId="0" borderId="16" xfId="0" quotePrefix="1" applyFont="1" applyFill="1" applyBorder="1" applyAlignment="1">
      <alignment horizontal="center"/>
    </xf>
    <xf numFmtId="9" fontId="3" fillId="0" borderId="1" xfId="0" applyNumberFormat="1" applyFont="1" applyFill="1" applyBorder="1" applyAlignment="1">
      <alignment horizontal="center"/>
    </xf>
    <xf numFmtId="166" fontId="3" fillId="0" borderId="1" xfId="0" applyNumberFormat="1" applyFont="1" applyFill="1" applyBorder="1" applyAlignment="1">
      <alignment horizontal="center"/>
    </xf>
    <xf numFmtId="166" fontId="8" fillId="0" borderId="1" xfId="0" applyNumberFormat="1" applyFont="1" applyFill="1" applyBorder="1" applyAlignment="1">
      <alignment horizontal="center"/>
    </xf>
    <xf numFmtId="166" fontId="9" fillId="0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0" fillId="0" borderId="0" xfId="0" applyFill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0" fillId="0" borderId="0" xfId="0" applyNumberFormat="1" applyFill="1" applyBorder="1" applyAlignment="1">
      <alignment horizontal="left"/>
    </xf>
    <xf numFmtId="0" fontId="3" fillId="0" borderId="0" xfId="0" quotePrefix="1" applyNumberFormat="1" applyFont="1" applyFill="1" applyBorder="1" applyAlignment="1">
      <alignment horizontal="left"/>
    </xf>
    <xf numFmtId="0" fontId="0" fillId="0" borderId="0" xfId="0" applyFill="1" applyBorder="1"/>
    <xf numFmtId="3" fontId="3" fillId="0" borderId="1" xfId="0" applyNumberFormat="1" applyFont="1" applyFill="1" applyBorder="1" applyAlignment="1">
      <alignment horizontal="center"/>
    </xf>
    <xf numFmtId="3" fontId="10" fillId="0" borderId="1" xfId="0" applyNumberFormat="1" applyFont="1" applyFill="1" applyBorder="1" applyAlignment="1">
      <alignment horizontal="center"/>
    </xf>
    <xf numFmtId="3" fontId="9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right"/>
    </xf>
    <xf numFmtId="0" fontId="1" fillId="0" borderId="1" xfId="0" applyFont="1" applyFill="1" applyBorder="1" applyAlignment="1"/>
    <xf numFmtId="165" fontId="3" fillId="0" borderId="16" xfId="0" applyNumberFormat="1" applyFont="1" applyFill="1" applyBorder="1" applyAlignment="1">
      <alignment horizontal="right"/>
    </xf>
    <xf numFmtId="0" fontId="3" fillId="0" borderId="13" xfId="0" applyFont="1" applyFill="1" applyBorder="1" applyAlignment="1">
      <alignment horizontal="right"/>
    </xf>
    <xf numFmtId="0" fontId="3" fillId="0" borderId="14" xfId="0" applyFont="1" applyFill="1" applyBorder="1" applyAlignment="1"/>
    <xf numFmtId="0" fontId="0" fillId="0" borderId="2" xfId="0" applyFont="1" applyFill="1" applyBorder="1" applyAlignment="1">
      <alignment horizontal="right"/>
    </xf>
    <xf numFmtId="0" fontId="0" fillId="0" borderId="1" xfId="0" applyFont="1" applyFill="1" applyBorder="1" applyAlignment="1"/>
    <xf numFmtId="0" fontId="7" fillId="0" borderId="2" xfId="0" applyFont="1" applyFill="1" applyBorder="1" applyAlignment="1">
      <alignment horizontal="right"/>
    </xf>
    <xf numFmtId="0" fontId="7" fillId="0" borderId="1" xfId="0" applyFont="1" applyFill="1" applyBorder="1" applyAlignment="1"/>
    <xf numFmtId="0" fontId="4" fillId="0" borderId="2" xfId="0" applyFont="1" applyFill="1" applyBorder="1" applyAlignment="1">
      <alignment horizontal="right"/>
    </xf>
    <xf numFmtId="0" fontId="4" fillId="0" borderId="1" xfId="0" applyFont="1" applyFill="1" applyBorder="1" applyAlignment="1"/>
    <xf numFmtId="0" fontId="9" fillId="0" borderId="12" xfId="0" applyFont="1" applyFill="1" applyBorder="1" applyAlignment="1">
      <alignment horizontal="left" indent="4"/>
    </xf>
    <xf numFmtId="0" fontId="3" fillId="0" borderId="13" xfId="0" applyFont="1" applyFill="1" applyBorder="1" applyAlignment="1">
      <alignment horizontal="left" indent="4"/>
    </xf>
    <xf numFmtId="0" fontId="3" fillId="0" borderId="14" xfId="0" applyFont="1" applyFill="1" applyBorder="1" applyAlignment="1">
      <alignment horizontal="left" indent="4"/>
    </xf>
    <xf numFmtId="0" fontId="3" fillId="0" borderId="14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right"/>
    </xf>
    <xf numFmtId="0" fontId="2" fillId="0" borderId="1" xfId="0" applyFont="1" applyFill="1" applyBorder="1" applyAlignment="1"/>
    <xf numFmtId="0" fontId="6" fillId="0" borderId="9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0" fillId="0" borderId="0" xfId="0" applyFill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4"/>
  <sheetViews>
    <sheetView tabSelected="1" topLeftCell="A43" zoomScale="85" zoomScaleNormal="85" zoomScaleSheetLayoutView="55" workbookViewId="0">
      <selection activeCell="H53" sqref="H53:H57"/>
    </sheetView>
  </sheetViews>
  <sheetFormatPr defaultColWidth="22.6640625" defaultRowHeight="14.4" x14ac:dyDescent="0.3"/>
  <cols>
    <col min="1" max="1" width="10.6640625" style="1" customWidth="1"/>
    <col min="2" max="2" width="68.6640625" style="1" customWidth="1"/>
    <col min="3" max="3" width="12.6640625" style="1" customWidth="1"/>
    <col min="4" max="4" width="16.33203125" style="1" customWidth="1"/>
    <col min="5" max="7" width="12.6640625" style="1" customWidth="1"/>
    <col min="8" max="8" width="18.6640625" style="1" customWidth="1"/>
    <col min="9" max="9" width="82.6640625" customWidth="1"/>
    <col min="10" max="10" width="31.44140625" bestFit="1" customWidth="1"/>
    <col min="11" max="11" width="36.44140625" bestFit="1" customWidth="1"/>
  </cols>
  <sheetData>
    <row r="1" spans="1:13" ht="15.75" customHeight="1" x14ac:dyDescent="0.3">
      <c r="A1" s="2"/>
      <c r="B1" s="6" t="s">
        <v>3</v>
      </c>
      <c r="C1" s="3" t="s">
        <v>52</v>
      </c>
      <c r="E1" s="2"/>
      <c r="F1" s="2"/>
      <c r="G1" s="2"/>
      <c r="H1" s="2"/>
      <c r="I1" s="5" t="s">
        <v>2</v>
      </c>
    </row>
    <row r="2" spans="1:13" ht="45.6" customHeight="1" x14ac:dyDescent="0.3">
      <c r="A2" s="2"/>
      <c r="B2" s="6" t="s">
        <v>4</v>
      </c>
      <c r="C2" s="3" t="s">
        <v>53</v>
      </c>
      <c r="E2" s="2"/>
      <c r="F2" s="2"/>
      <c r="G2" s="2"/>
      <c r="I2" s="42" t="s">
        <v>60</v>
      </c>
    </row>
    <row r="3" spans="1:13" ht="15.75" customHeight="1" x14ac:dyDescent="0.3">
      <c r="A3" s="2"/>
      <c r="B3" s="6" t="s">
        <v>5</v>
      </c>
      <c r="C3" s="3" t="s">
        <v>58</v>
      </c>
      <c r="E3" s="2"/>
      <c r="F3" s="2"/>
      <c r="G3" s="2"/>
      <c r="H3" s="7"/>
      <c r="I3" s="13" t="s">
        <v>54</v>
      </c>
    </row>
    <row r="4" spans="1:13" ht="15.75" customHeight="1" x14ac:dyDescent="0.3">
      <c r="A4" s="43"/>
      <c r="B4" s="44" t="s">
        <v>14</v>
      </c>
      <c r="C4" s="45" t="s">
        <v>15</v>
      </c>
      <c r="D4" s="46"/>
      <c r="E4" s="43"/>
      <c r="F4" s="43"/>
      <c r="G4" s="43"/>
      <c r="H4" s="47"/>
      <c r="I4" s="14" t="s">
        <v>47</v>
      </c>
    </row>
    <row r="5" spans="1:13" ht="15.75" customHeight="1" x14ac:dyDescent="0.3">
      <c r="A5" s="43"/>
      <c r="B5" s="44" t="s">
        <v>6</v>
      </c>
      <c r="C5" s="48">
        <v>43287</v>
      </c>
      <c r="D5" s="46"/>
      <c r="E5" s="43"/>
      <c r="F5" s="43"/>
      <c r="G5" s="43"/>
      <c r="H5" s="47"/>
      <c r="I5" s="14" t="s">
        <v>59</v>
      </c>
    </row>
    <row r="6" spans="1:13" ht="15.75" customHeight="1" x14ac:dyDescent="0.3">
      <c r="A6" s="43"/>
      <c r="B6" s="44" t="s">
        <v>7</v>
      </c>
      <c r="C6" s="49" t="s">
        <v>81</v>
      </c>
      <c r="D6" s="46"/>
      <c r="E6" s="43"/>
      <c r="F6" s="43"/>
      <c r="G6" s="43"/>
      <c r="H6" s="47"/>
      <c r="I6" s="74" t="s">
        <v>82</v>
      </c>
    </row>
    <row r="7" spans="1:13" ht="15.75" customHeight="1" x14ac:dyDescent="0.3">
      <c r="A7" s="43"/>
      <c r="B7" s="44"/>
      <c r="C7" s="44"/>
      <c r="D7" s="49"/>
      <c r="E7" s="43"/>
      <c r="F7" s="43"/>
      <c r="G7" s="43"/>
      <c r="H7" s="47"/>
      <c r="I7" s="74" t="s">
        <v>83</v>
      </c>
    </row>
    <row r="8" spans="1:13" ht="15.75" customHeight="1" thickBot="1" x14ac:dyDescent="0.35">
      <c r="A8" s="43"/>
      <c r="B8" s="44"/>
      <c r="C8" s="44"/>
      <c r="D8" s="49"/>
      <c r="E8" s="43"/>
      <c r="F8" s="43"/>
      <c r="G8" s="43"/>
      <c r="H8" s="47"/>
      <c r="I8" s="50"/>
    </row>
    <row r="9" spans="1:13" ht="20.100000000000001" customHeight="1" thickBot="1" x14ac:dyDescent="0.4">
      <c r="A9" s="71" t="s">
        <v>61</v>
      </c>
      <c r="B9" s="72"/>
      <c r="C9" s="72"/>
      <c r="D9" s="72"/>
      <c r="E9" s="72"/>
      <c r="F9" s="72"/>
      <c r="G9" s="72"/>
      <c r="H9" s="72"/>
      <c r="I9" s="73"/>
    </row>
    <row r="10" spans="1:13" ht="30" customHeight="1" thickTop="1" thickBot="1" x14ac:dyDescent="0.35">
      <c r="A10" s="19" t="s">
        <v>17</v>
      </c>
      <c r="B10" s="20" t="s">
        <v>0</v>
      </c>
      <c r="C10" s="21" t="s">
        <v>71</v>
      </c>
      <c r="D10" s="21" t="s">
        <v>19</v>
      </c>
      <c r="E10" s="21" t="s">
        <v>20</v>
      </c>
      <c r="F10" s="21" t="s">
        <v>50</v>
      </c>
      <c r="G10" s="21" t="s">
        <v>21</v>
      </c>
      <c r="H10" s="21" t="s">
        <v>22</v>
      </c>
      <c r="I10" s="4" t="s">
        <v>1</v>
      </c>
    </row>
    <row r="11" spans="1:13" ht="20.100000000000001" customHeight="1" thickTop="1" x14ac:dyDescent="0.3">
      <c r="A11" s="65" t="s">
        <v>18</v>
      </c>
      <c r="B11" s="66"/>
      <c r="C11" s="66"/>
      <c r="D11" s="66"/>
      <c r="E11" s="66"/>
      <c r="F11" s="66"/>
      <c r="G11" s="66"/>
      <c r="H11" s="67"/>
      <c r="I11" s="8"/>
      <c r="J11" s="18"/>
      <c r="K11" s="30"/>
      <c r="L11" s="30"/>
      <c r="M11" s="30"/>
    </row>
    <row r="12" spans="1:13" x14ac:dyDescent="0.3">
      <c r="A12" s="15">
        <v>1</v>
      </c>
      <c r="B12" s="22" t="s">
        <v>62</v>
      </c>
      <c r="C12" s="17">
        <v>198715</v>
      </c>
      <c r="D12" s="17">
        <v>125067.55555555556</v>
      </c>
      <c r="E12" s="17">
        <v>7910</v>
      </c>
      <c r="F12" s="17">
        <v>16045</v>
      </c>
      <c r="G12" s="23">
        <v>6</v>
      </c>
      <c r="H12" s="17">
        <f t="shared" ref="H12:H18" si="0">(SUM(C12:F12))*G12</f>
        <v>2086425.3333333335</v>
      </c>
      <c r="I12" s="8"/>
      <c r="J12" s="31"/>
      <c r="K12" s="32"/>
      <c r="L12" s="32"/>
      <c r="M12" s="32"/>
    </row>
    <row r="13" spans="1:13" x14ac:dyDescent="0.3">
      <c r="A13" s="15">
        <v>2</v>
      </c>
      <c r="B13" s="22" t="s">
        <v>56</v>
      </c>
      <c r="C13" s="17">
        <v>83695</v>
      </c>
      <c r="D13" s="17">
        <v>31470.222222222223</v>
      </c>
      <c r="E13" s="17">
        <v>1375</v>
      </c>
      <c r="F13" s="17">
        <v>9525</v>
      </c>
      <c r="G13" s="23">
        <v>12</v>
      </c>
      <c r="H13" s="17">
        <f t="shared" si="0"/>
        <v>1512782.6666666665</v>
      </c>
      <c r="I13" s="8"/>
      <c r="J13" s="31"/>
      <c r="K13" s="32"/>
      <c r="L13" s="32"/>
      <c r="M13" s="32"/>
    </row>
    <row r="14" spans="1:13" x14ac:dyDescent="0.3">
      <c r="A14" s="15">
        <v>3</v>
      </c>
      <c r="B14" s="22" t="s">
        <v>63</v>
      </c>
      <c r="C14" s="17">
        <v>125695</v>
      </c>
      <c r="D14" s="17">
        <v>67661.333333333328</v>
      </c>
      <c r="E14" s="17">
        <v>2500</v>
      </c>
      <c r="F14" s="17">
        <v>12175</v>
      </c>
      <c r="G14" s="23">
        <v>2</v>
      </c>
      <c r="H14" s="17">
        <f t="shared" si="0"/>
        <v>416062.66666666663</v>
      </c>
      <c r="I14" s="8"/>
      <c r="J14" s="31"/>
      <c r="K14" s="32"/>
      <c r="L14" s="32"/>
      <c r="M14" s="32"/>
    </row>
    <row r="15" spans="1:13" x14ac:dyDescent="0.3">
      <c r="A15" s="15">
        <v>4</v>
      </c>
      <c r="B15" s="22" t="s">
        <v>55</v>
      </c>
      <c r="C15" s="17">
        <v>94855</v>
      </c>
      <c r="D15" s="17">
        <v>45418.666666666664</v>
      </c>
      <c r="E15" s="17">
        <v>1525</v>
      </c>
      <c r="F15" s="17">
        <v>8235</v>
      </c>
      <c r="G15" s="23">
        <v>6</v>
      </c>
      <c r="H15" s="17">
        <f t="shared" si="0"/>
        <v>900202</v>
      </c>
      <c r="I15" s="8"/>
      <c r="J15" s="31"/>
      <c r="K15" s="32"/>
      <c r="L15" s="32"/>
      <c r="M15" s="32"/>
    </row>
    <row r="16" spans="1:13" x14ac:dyDescent="0.3">
      <c r="A16" s="15">
        <v>5</v>
      </c>
      <c r="B16" s="22" t="s">
        <v>64</v>
      </c>
      <c r="C16" s="17">
        <v>145900</v>
      </c>
      <c r="D16" s="17">
        <v>58624.888888888891</v>
      </c>
      <c r="E16" s="17">
        <v>2650</v>
      </c>
      <c r="F16" s="17">
        <v>10885</v>
      </c>
      <c r="G16" s="23">
        <v>1</v>
      </c>
      <c r="H16" s="17">
        <f t="shared" si="0"/>
        <v>218059.88888888888</v>
      </c>
      <c r="I16" s="8"/>
      <c r="J16" s="31"/>
      <c r="K16" s="32"/>
      <c r="L16" s="32"/>
      <c r="M16" s="32"/>
    </row>
    <row r="17" spans="1:13" x14ac:dyDescent="0.3">
      <c r="A17" s="15">
        <v>6</v>
      </c>
      <c r="B17" s="22" t="s">
        <v>57</v>
      </c>
      <c r="C17" s="24">
        <v>400</v>
      </c>
      <c r="D17" s="17">
        <v>24552.888888888891</v>
      </c>
      <c r="E17" s="17">
        <v>1375</v>
      </c>
      <c r="F17" s="17">
        <v>9525</v>
      </c>
      <c r="G17" s="23">
        <v>52</v>
      </c>
      <c r="H17" s="17">
        <f t="shared" si="0"/>
        <v>1864350.2222222222</v>
      </c>
      <c r="I17" s="8" t="s">
        <v>78</v>
      </c>
      <c r="J17" s="31"/>
      <c r="K17" s="32"/>
      <c r="L17" s="32"/>
      <c r="M17" s="32"/>
    </row>
    <row r="18" spans="1:13" x14ac:dyDescent="0.3">
      <c r="A18" s="15">
        <v>7</v>
      </c>
      <c r="B18" s="22" t="s">
        <v>65</v>
      </c>
      <c r="C18" s="24">
        <v>400</v>
      </c>
      <c r="D18" s="17">
        <v>46708.444444444445</v>
      </c>
      <c r="E18" s="17">
        <v>2500</v>
      </c>
      <c r="F18" s="17">
        <v>12175</v>
      </c>
      <c r="G18" s="23">
        <v>10</v>
      </c>
      <c r="H18" s="17">
        <f t="shared" si="0"/>
        <v>617834.4444444445</v>
      </c>
      <c r="I18" s="8" t="s">
        <v>78</v>
      </c>
      <c r="J18" s="31"/>
      <c r="K18" s="32"/>
      <c r="L18" s="32"/>
      <c r="M18" s="32"/>
    </row>
    <row r="19" spans="1:13" x14ac:dyDescent="0.3">
      <c r="A19" s="15"/>
      <c r="B19" s="25" t="s">
        <v>8</v>
      </c>
      <c r="C19" s="17">
        <f>SUMPRODUCT(C12:C18,$G$12:$G$18)</f>
        <v>3187850</v>
      </c>
      <c r="D19" s="17">
        <f>SUMPRODUCT(D12:D18,$G$12:$G$18)</f>
        <v>3338342.2222222225</v>
      </c>
      <c r="E19" s="17">
        <f>SUMPRODUCT(E12:E18,$G$12:$G$18)</f>
        <v>177260</v>
      </c>
      <c r="F19" s="17">
        <f>SUMPRODUCT(F12:F18,$G$12:$G$18)</f>
        <v>912265</v>
      </c>
      <c r="G19" s="23">
        <f>SUM(G12:G18)</f>
        <v>89</v>
      </c>
      <c r="H19" s="17">
        <f>SUM(H12:H18)</f>
        <v>7615717.222222222</v>
      </c>
      <c r="I19" s="8"/>
      <c r="J19" s="33"/>
      <c r="K19" s="18"/>
      <c r="L19" s="18"/>
      <c r="M19" s="18"/>
    </row>
    <row r="20" spans="1:13" x14ac:dyDescent="0.3">
      <c r="A20" s="15"/>
      <c r="B20" s="16"/>
      <c r="C20" s="16"/>
      <c r="D20" s="17"/>
      <c r="E20" s="17"/>
      <c r="F20" s="17"/>
      <c r="G20" s="17"/>
      <c r="H20" s="17"/>
      <c r="I20" s="8"/>
    </row>
    <row r="21" spans="1:13" ht="20.100000000000001" customHeight="1" x14ac:dyDescent="0.3">
      <c r="A21" s="65" t="s">
        <v>23</v>
      </c>
      <c r="B21" s="66"/>
      <c r="C21" s="66"/>
      <c r="D21" s="66"/>
      <c r="E21" s="66"/>
      <c r="F21" s="66"/>
      <c r="G21" s="66"/>
      <c r="H21" s="67"/>
      <c r="I21" s="8"/>
    </row>
    <row r="22" spans="1:13" x14ac:dyDescent="0.3">
      <c r="A22" s="15">
        <v>7</v>
      </c>
      <c r="B22" s="26" t="s">
        <v>75</v>
      </c>
      <c r="C22" s="26"/>
      <c r="D22" s="17">
        <v>197840</v>
      </c>
      <c r="E22" s="17"/>
      <c r="F22" s="17">
        <v>727500</v>
      </c>
      <c r="G22" s="23">
        <v>1</v>
      </c>
      <c r="H22" s="27">
        <f>(D22+F22)*G22</f>
        <v>925340</v>
      </c>
      <c r="I22" s="8"/>
    </row>
    <row r="23" spans="1:13" x14ac:dyDescent="0.3">
      <c r="A23" s="15">
        <v>8</v>
      </c>
      <c r="B23" s="26" t="s">
        <v>76</v>
      </c>
      <c r="C23" s="26"/>
      <c r="D23" s="17">
        <v>67980</v>
      </c>
      <c r="E23" s="17"/>
      <c r="F23" s="17">
        <v>323200</v>
      </c>
      <c r="G23" s="23">
        <v>1</v>
      </c>
      <c r="H23" s="27">
        <f t="shared" ref="H23:H25" si="1">(D23+F23)*G23</f>
        <v>391180</v>
      </c>
      <c r="I23" s="8"/>
    </row>
    <row r="24" spans="1:13" x14ac:dyDescent="0.3">
      <c r="A24" s="15">
        <v>9</v>
      </c>
      <c r="B24" s="26" t="s">
        <v>48</v>
      </c>
      <c r="C24" s="26"/>
      <c r="D24" s="17">
        <v>8000</v>
      </c>
      <c r="E24" s="17"/>
      <c r="F24" s="17">
        <v>2865</v>
      </c>
      <c r="G24" s="23">
        <v>4</v>
      </c>
      <c r="H24" s="27">
        <f t="shared" si="1"/>
        <v>43460</v>
      </c>
      <c r="I24" s="8" t="s">
        <v>49</v>
      </c>
    </row>
    <row r="25" spans="1:13" ht="28.8" x14ac:dyDescent="0.3">
      <c r="A25" s="15">
        <v>10</v>
      </c>
      <c r="B25" s="26" t="s">
        <v>24</v>
      </c>
      <c r="C25" s="26"/>
      <c r="D25" s="17">
        <v>35000</v>
      </c>
      <c r="E25" s="17"/>
      <c r="F25" s="17">
        <v>131510</v>
      </c>
      <c r="G25" s="23">
        <v>1</v>
      </c>
      <c r="H25" s="27">
        <f t="shared" si="1"/>
        <v>166510</v>
      </c>
      <c r="I25" s="29" t="s">
        <v>66</v>
      </c>
    </row>
    <row r="26" spans="1:13" x14ac:dyDescent="0.3">
      <c r="A26" s="15"/>
      <c r="B26" s="25" t="s">
        <v>8</v>
      </c>
      <c r="C26" s="25"/>
      <c r="D26" s="17">
        <f>SUMPRODUCT(D22:D25,G22:G25)</f>
        <v>332820</v>
      </c>
      <c r="E26" s="17"/>
      <c r="F26" s="17">
        <f>SUMPRODUCT(F22:F25,G22:G25)</f>
        <v>1193670</v>
      </c>
      <c r="G26" s="23"/>
      <c r="H26" s="17">
        <f>SUM(H22:H25)</f>
        <v>1526490</v>
      </c>
      <c r="I26" s="8"/>
    </row>
    <row r="27" spans="1:13" x14ac:dyDescent="0.3">
      <c r="A27" s="15"/>
      <c r="B27" s="16"/>
      <c r="C27" s="16"/>
      <c r="D27" s="17"/>
      <c r="E27" s="17"/>
      <c r="F27" s="17"/>
      <c r="G27" s="17"/>
      <c r="H27" s="17"/>
      <c r="I27" s="8"/>
    </row>
    <row r="28" spans="1:13" ht="20.100000000000001" customHeight="1" x14ac:dyDescent="0.3">
      <c r="A28" s="65" t="s">
        <v>37</v>
      </c>
      <c r="B28" s="66"/>
      <c r="C28" s="66"/>
      <c r="D28" s="66"/>
      <c r="E28" s="66"/>
      <c r="F28" s="66"/>
      <c r="G28" s="66"/>
      <c r="H28" s="67"/>
      <c r="I28" s="8"/>
    </row>
    <row r="29" spans="1:13" x14ac:dyDescent="0.3">
      <c r="A29" s="15">
        <v>11</v>
      </c>
      <c r="B29" s="26" t="s">
        <v>38</v>
      </c>
      <c r="C29" s="28"/>
      <c r="D29" s="56" t="s">
        <v>29</v>
      </c>
      <c r="E29" s="57"/>
      <c r="F29" s="57"/>
      <c r="G29" s="58"/>
      <c r="H29" s="17">
        <v>36100</v>
      </c>
      <c r="I29" s="8"/>
    </row>
    <row r="30" spans="1:13" x14ac:dyDescent="0.3">
      <c r="A30" s="15">
        <v>12</v>
      </c>
      <c r="B30" s="26" t="s">
        <v>39</v>
      </c>
      <c r="C30" s="28"/>
      <c r="D30" s="56" t="s">
        <v>29</v>
      </c>
      <c r="E30" s="57"/>
      <c r="F30" s="57"/>
      <c r="G30" s="58"/>
      <c r="H30" s="17">
        <v>208430</v>
      </c>
      <c r="I30" s="8"/>
    </row>
    <row r="31" spans="1:13" x14ac:dyDescent="0.3">
      <c r="A31" s="15">
        <v>13</v>
      </c>
      <c r="B31" s="26" t="s">
        <v>40</v>
      </c>
      <c r="C31" s="28"/>
      <c r="D31" s="56" t="s">
        <v>29</v>
      </c>
      <c r="E31" s="57"/>
      <c r="F31" s="57"/>
      <c r="G31" s="58"/>
      <c r="H31" s="17">
        <v>366040</v>
      </c>
      <c r="I31" s="8"/>
    </row>
    <row r="32" spans="1:13" x14ac:dyDescent="0.3">
      <c r="A32" s="15">
        <v>14</v>
      </c>
      <c r="B32" s="26" t="s">
        <v>41</v>
      </c>
      <c r="C32" s="28"/>
      <c r="D32" s="56" t="s">
        <v>29</v>
      </c>
      <c r="E32" s="57"/>
      <c r="F32" s="57"/>
      <c r="G32" s="58"/>
      <c r="H32" s="17">
        <v>171935</v>
      </c>
      <c r="I32" s="8"/>
    </row>
    <row r="33" spans="1:9" x14ac:dyDescent="0.3">
      <c r="A33" s="15"/>
      <c r="B33" s="25" t="s">
        <v>8</v>
      </c>
      <c r="C33" s="25"/>
      <c r="D33" s="17"/>
      <c r="E33" s="17"/>
      <c r="F33" s="17"/>
      <c r="G33" s="23"/>
      <c r="H33" s="17">
        <f>SUM(H29:H32)</f>
        <v>782505</v>
      </c>
      <c r="I33" s="8"/>
    </row>
    <row r="34" spans="1:9" x14ac:dyDescent="0.3">
      <c r="A34" s="15"/>
      <c r="B34" s="16"/>
      <c r="C34" s="16"/>
      <c r="D34" s="17"/>
      <c r="E34" s="17"/>
      <c r="F34" s="17"/>
      <c r="G34" s="17"/>
      <c r="H34" s="17"/>
      <c r="I34" s="8"/>
    </row>
    <row r="35" spans="1:9" ht="20.100000000000001" customHeight="1" x14ac:dyDescent="0.3">
      <c r="A35" s="59" t="s">
        <v>25</v>
      </c>
      <c r="B35" s="60"/>
      <c r="C35" s="60"/>
      <c r="D35" s="60"/>
      <c r="E35" s="60"/>
      <c r="F35" s="60"/>
      <c r="G35" s="60"/>
      <c r="H35" s="51">
        <f>SUM(H19,H26)</f>
        <v>9142207.222222222</v>
      </c>
      <c r="I35" s="8"/>
    </row>
    <row r="36" spans="1:9" ht="27" customHeight="1" x14ac:dyDescent="0.3">
      <c r="A36" s="59" t="s">
        <v>32</v>
      </c>
      <c r="B36" s="60"/>
      <c r="C36" s="60"/>
      <c r="D36" s="60"/>
      <c r="E36" s="60"/>
      <c r="F36" s="60"/>
      <c r="G36" s="60"/>
      <c r="H36" s="51">
        <f>(SUM(C19,D19,E19,D26))*0.2</f>
        <v>1407254.4444444445</v>
      </c>
      <c r="I36" s="29" t="s">
        <v>33</v>
      </c>
    </row>
    <row r="37" spans="1:9" ht="41.4" customHeight="1" x14ac:dyDescent="0.3">
      <c r="A37" s="59" t="s">
        <v>44</v>
      </c>
      <c r="B37" s="60"/>
      <c r="C37" s="60"/>
      <c r="D37" s="60"/>
      <c r="E37" s="60"/>
      <c r="F37" s="60"/>
      <c r="G37" s="60"/>
      <c r="H37" s="51">
        <f>(SUM(F19,F26))*0.3</f>
        <v>631780.5</v>
      </c>
      <c r="I37" s="29" t="s">
        <v>45</v>
      </c>
    </row>
    <row r="38" spans="1:9" x14ac:dyDescent="0.3">
      <c r="A38" s="69" t="s">
        <v>26</v>
      </c>
      <c r="B38" s="70"/>
      <c r="C38" s="70"/>
      <c r="D38" s="70"/>
      <c r="E38" s="70"/>
      <c r="F38" s="70"/>
      <c r="G38" s="70"/>
      <c r="H38" s="52">
        <f>SUM(H35:H37)</f>
        <v>11181242.166666666</v>
      </c>
      <c r="I38" s="29"/>
    </row>
    <row r="39" spans="1:9" ht="46.2" customHeight="1" x14ac:dyDescent="0.3">
      <c r="A39" s="54" t="s">
        <v>42</v>
      </c>
      <c r="B39" s="55"/>
      <c r="C39" s="55"/>
      <c r="D39" s="55"/>
      <c r="E39" s="55"/>
      <c r="F39" s="55"/>
      <c r="G39" s="55"/>
      <c r="H39" s="53">
        <f>(H38/7.7)+(H33/7.7)</f>
        <v>1553733.3982683981</v>
      </c>
      <c r="I39" s="29" t="s">
        <v>77</v>
      </c>
    </row>
    <row r="40" spans="1:9" ht="20.100000000000001" customHeight="1" x14ac:dyDescent="0.3">
      <c r="A40" s="63" t="s">
        <v>68</v>
      </c>
      <c r="B40" s="64"/>
      <c r="C40" s="64"/>
      <c r="D40" s="64"/>
      <c r="E40" s="64"/>
      <c r="F40" s="64"/>
      <c r="G40" s="64"/>
      <c r="H40" s="34">
        <f>H39*7.7</f>
        <v>11963747.166666666</v>
      </c>
      <c r="I40" s="29" t="s">
        <v>69</v>
      </c>
    </row>
    <row r="41" spans="1:9" s="18" customFormat="1" x14ac:dyDescent="0.3">
      <c r="A41" s="15"/>
      <c r="B41" s="16"/>
      <c r="C41" s="16"/>
      <c r="D41" s="17"/>
      <c r="E41" s="17"/>
      <c r="F41" s="17"/>
      <c r="G41" s="17"/>
      <c r="H41" s="17"/>
      <c r="I41" s="8"/>
    </row>
    <row r="42" spans="1:9" ht="20.100000000000001" customHeight="1" x14ac:dyDescent="0.3">
      <c r="A42" s="65" t="s">
        <v>70</v>
      </c>
      <c r="B42" s="66"/>
      <c r="C42" s="66"/>
      <c r="D42" s="66"/>
      <c r="E42" s="66"/>
      <c r="F42" s="66"/>
      <c r="G42" s="66"/>
      <c r="H42" s="67"/>
      <c r="I42" s="29"/>
    </row>
    <row r="43" spans="1:9" x14ac:dyDescent="0.3">
      <c r="A43" s="15">
        <v>15</v>
      </c>
      <c r="B43" s="26" t="s">
        <v>34</v>
      </c>
      <c r="C43" s="28"/>
      <c r="D43" s="56" t="s">
        <v>27</v>
      </c>
      <c r="E43" s="57"/>
      <c r="F43" s="68"/>
      <c r="G43" s="38">
        <v>0.1</v>
      </c>
      <c r="H43" s="17">
        <f>$H$40*G43</f>
        <v>1196374.7166666666</v>
      </c>
      <c r="I43" s="8"/>
    </row>
    <row r="44" spans="1:9" x14ac:dyDescent="0.3">
      <c r="A44" s="15">
        <v>16</v>
      </c>
      <c r="B44" s="26" t="s">
        <v>12</v>
      </c>
      <c r="C44" s="28"/>
      <c r="D44" s="56" t="s">
        <v>51</v>
      </c>
      <c r="E44" s="57"/>
      <c r="F44" s="68"/>
      <c r="G44" s="35"/>
      <c r="H44" s="17">
        <v>40000</v>
      </c>
      <c r="I44" s="8" t="s">
        <v>72</v>
      </c>
    </row>
    <row r="45" spans="1:9" x14ac:dyDescent="0.3">
      <c r="A45" s="15">
        <v>17</v>
      </c>
      <c r="B45" s="26" t="s">
        <v>74</v>
      </c>
      <c r="C45" s="28"/>
      <c r="D45" s="56" t="s">
        <v>27</v>
      </c>
      <c r="E45" s="57"/>
      <c r="F45" s="68"/>
      <c r="G45" s="38">
        <v>0.08</v>
      </c>
      <c r="H45" s="17">
        <f>G45*$H$40</f>
        <v>957099.77333333332</v>
      </c>
      <c r="I45" s="8"/>
    </row>
    <row r="46" spans="1:9" x14ac:dyDescent="0.3">
      <c r="A46" s="15">
        <v>18</v>
      </c>
      <c r="B46" s="26" t="s">
        <v>73</v>
      </c>
      <c r="C46" s="28"/>
      <c r="D46" s="56" t="s">
        <v>27</v>
      </c>
      <c r="E46" s="57"/>
      <c r="F46" s="68"/>
      <c r="G46" s="38">
        <v>0.1</v>
      </c>
      <c r="H46" s="17">
        <f>G46*$H$40</f>
        <v>1196374.7166666666</v>
      </c>
      <c r="I46" s="8"/>
    </row>
    <row r="47" spans="1:9" x14ac:dyDescent="0.3">
      <c r="A47" s="15">
        <v>19</v>
      </c>
      <c r="B47" s="36" t="s">
        <v>31</v>
      </c>
      <c r="C47" s="37"/>
      <c r="D47" s="56" t="s">
        <v>27</v>
      </c>
      <c r="E47" s="57"/>
      <c r="F47" s="68"/>
      <c r="G47" s="38">
        <v>0.08</v>
      </c>
      <c r="H47" s="17">
        <f>$H$40*G47</f>
        <v>957099.77333333332</v>
      </c>
      <c r="I47" s="8" t="s">
        <v>36</v>
      </c>
    </row>
    <row r="48" spans="1:9" ht="31.8" customHeight="1" x14ac:dyDescent="0.3">
      <c r="A48" s="15">
        <v>20</v>
      </c>
      <c r="B48" s="36" t="s">
        <v>35</v>
      </c>
      <c r="C48" s="37"/>
      <c r="D48" s="56" t="s">
        <v>43</v>
      </c>
      <c r="E48" s="57"/>
      <c r="F48" s="68"/>
      <c r="G48" s="35">
        <v>0.1</v>
      </c>
      <c r="H48" s="17">
        <f>(SUM(F19,F26,H37)+H33)*G48</f>
        <v>352022.05000000005</v>
      </c>
      <c r="I48" s="29" t="s">
        <v>79</v>
      </c>
    </row>
    <row r="49" spans="1:9" x14ac:dyDescent="0.3">
      <c r="A49" s="15">
        <v>21</v>
      </c>
      <c r="B49" s="36" t="s">
        <v>80</v>
      </c>
      <c r="C49" s="37"/>
      <c r="D49" s="56" t="s">
        <v>27</v>
      </c>
      <c r="E49" s="57"/>
      <c r="F49" s="68"/>
      <c r="G49" s="35">
        <v>2.5000000000000001E-2</v>
      </c>
      <c r="H49" s="17">
        <f>$H$40*G49</f>
        <v>299093.67916666664</v>
      </c>
      <c r="I49" s="8"/>
    </row>
    <row r="50" spans="1:9" x14ac:dyDescent="0.3">
      <c r="A50" s="15"/>
      <c r="B50" s="25" t="s">
        <v>8</v>
      </c>
      <c r="C50" s="25"/>
      <c r="D50" s="17"/>
      <c r="E50" s="17"/>
      <c r="F50" s="17"/>
      <c r="G50" s="17"/>
      <c r="H50" s="17">
        <f>SUM(H43:H49)</f>
        <v>4998064.7091666656</v>
      </c>
      <c r="I50" s="8"/>
    </row>
    <row r="51" spans="1:9" x14ac:dyDescent="0.3">
      <c r="A51" s="15"/>
      <c r="B51" s="16"/>
      <c r="C51" s="16"/>
      <c r="D51" s="17"/>
      <c r="E51" s="17"/>
      <c r="F51" s="17"/>
      <c r="G51" s="17"/>
      <c r="H51" s="17"/>
      <c r="I51" s="8"/>
    </row>
    <row r="52" spans="1:9" s="18" customFormat="1" ht="42" customHeight="1" x14ac:dyDescent="0.3">
      <c r="A52" s="65" t="s">
        <v>13</v>
      </c>
      <c r="B52" s="66"/>
      <c r="C52" s="66"/>
      <c r="D52" s="66"/>
      <c r="E52" s="66"/>
      <c r="F52" s="66"/>
      <c r="G52" s="66"/>
      <c r="H52" s="67"/>
      <c r="I52" s="29"/>
    </row>
    <row r="53" spans="1:9" s="18" customFormat="1" x14ac:dyDescent="0.3">
      <c r="A53" s="15">
        <v>22</v>
      </c>
      <c r="B53" s="26" t="s">
        <v>9</v>
      </c>
      <c r="C53" s="28"/>
      <c r="D53" s="56" t="s">
        <v>29</v>
      </c>
      <c r="E53" s="57"/>
      <c r="F53" s="57"/>
      <c r="G53" s="58"/>
      <c r="H53" s="17">
        <v>50000</v>
      </c>
      <c r="I53" s="8"/>
    </row>
    <row r="54" spans="1:9" s="18" customFormat="1" x14ac:dyDescent="0.3">
      <c r="A54" s="15">
        <v>23</v>
      </c>
      <c r="B54" s="26" t="s">
        <v>10</v>
      </c>
      <c r="C54" s="28"/>
      <c r="D54" s="56" t="s">
        <v>29</v>
      </c>
      <c r="E54" s="57"/>
      <c r="F54" s="57"/>
      <c r="G54" s="58"/>
      <c r="H54" s="17">
        <v>550000</v>
      </c>
      <c r="I54" s="8"/>
    </row>
    <row r="55" spans="1:9" s="18" customFormat="1" x14ac:dyDescent="0.3">
      <c r="A55" s="15">
        <v>24</v>
      </c>
      <c r="B55" s="26" t="s">
        <v>11</v>
      </c>
      <c r="C55" s="28"/>
      <c r="D55" s="56" t="s">
        <v>29</v>
      </c>
      <c r="E55" s="57"/>
      <c r="F55" s="57"/>
      <c r="G55" s="58"/>
      <c r="H55" s="17">
        <v>30000</v>
      </c>
      <c r="I55" s="8"/>
    </row>
    <row r="56" spans="1:9" s="18" customFormat="1" x14ac:dyDescent="0.3">
      <c r="A56" s="15">
        <v>25</v>
      </c>
      <c r="B56" s="26" t="s">
        <v>30</v>
      </c>
      <c r="C56" s="28"/>
      <c r="D56" s="56" t="s">
        <v>29</v>
      </c>
      <c r="E56" s="57"/>
      <c r="F56" s="57"/>
      <c r="G56" s="58"/>
      <c r="H56" s="17">
        <v>112000</v>
      </c>
      <c r="I56" s="8"/>
    </row>
    <row r="57" spans="1:9" s="18" customFormat="1" x14ac:dyDescent="0.3">
      <c r="A57" s="15"/>
      <c r="B57" s="25" t="s">
        <v>8</v>
      </c>
      <c r="C57" s="25"/>
      <c r="D57" s="17"/>
      <c r="E57" s="17"/>
      <c r="F57" s="17"/>
      <c r="G57" s="17"/>
      <c r="H57" s="17">
        <f>SUM(H53:H56)</f>
        <v>742000</v>
      </c>
      <c r="I57" s="8"/>
    </row>
    <row r="58" spans="1:9" s="18" customFormat="1" x14ac:dyDescent="0.3">
      <c r="A58" s="15"/>
      <c r="B58" s="16"/>
      <c r="C58" s="16"/>
      <c r="D58" s="17"/>
      <c r="E58" s="17"/>
      <c r="F58" s="17"/>
      <c r="G58" s="17"/>
      <c r="H58" s="17"/>
      <c r="I58" s="8"/>
    </row>
    <row r="59" spans="1:9" ht="20.100000000000001" customHeight="1" x14ac:dyDescent="0.3">
      <c r="A59" s="59" t="s">
        <v>46</v>
      </c>
      <c r="B59" s="60"/>
      <c r="C59" s="60"/>
      <c r="D59" s="60"/>
      <c r="E59" s="60"/>
      <c r="F59" s="60"/>
      <c r="G59" s="60"/>
      <c r="H59" s="39">
        <f>SUM(H50,H57)</f>
        <v>5740064.7091666656</v>
      </c>
      <c r="I59" s="8"/>
    </row>
    <row r="60" spans="1:9" ht="20.100000000000001" customHeight="1" x14ac:dyDescent="0.3">
      <c r="A60" s="59" t="s">
        <v>16</v>
      </c>
      <c r="B60" s="60"/>
      <c r="C60" s="60"/>
      <c r="D60" s="60"/>
      <c r="E60" s="60"/>
      <c r="F60" s="60"/>
      <c r="G60" s="60"/>
      <c r="H60" s="39">
        <f>0.1*H59</f>
        <v>574006.47091666656</v>
      </c>
      <c r="I60" s="8"/>
    </row>
    <row r="61" spans="1:9" x14ac:dyDescent="0.3">
      <c r="A61" s="15"/>
      <c r="B61" s="16"/>
      <c r="C61" s="16"/>
      <c r="D61" s="17"/>
      <c r="E61" s="17"/>
      <c r="F61" s="17"/>
      <c r="G61" s="17"/>
      <c r="H61" s="17"/>
      <c r="I61" s="8"/>
    </row>
    <row r="62" spans="1:9" ht="20.100000000000001" customHeight="1" x14ac:dyDescent="0.35">
      <c r="A62" s="61" t="s">
        <v>67</v>
      </c>
      <c r="B62" s="62"/>
      <c r="C62" s="62"/>
      <c r="D62" s="62"/>
      <c r="E62" s="62"/>
      <c r="F62" s="62"/>
      <c r="G62" s="62"/>
      <c r="H62" s="40">
        <f>SUM(H40,H59,H60)</f>
        <v>18277818.346749999</v>
      </c>
      <c r="I62" s="8"/>
    </row>
    <row r="63" spans="1:9" ht="20.100000000000001" customHeight="1" x14ac:dyDescent="0.3">
      <c r="A63" s="54" t="s">
        <v>28</v>
      </c>
      <c r="B63" s="55"/>
      <c r="C63" s="55"/>
      <c r="D63" s="55"/>
      <c r="E63" s="55"/>
      <c r="F63" s="55"/>
      <c r="G63" s="55"/>
      <c r="H63" s="41">
        <f>H62/7.7</f>
        <v>2373742.6424350645</v>
      </c>
      <c r="I63" s="8"/>
    </row>
    <row r="64" spans="1:9" ht="15" thickBot="1" x14ac:dyDescent="0.35">
      <c r="A64" s="10"/>
      <c r="B64" s="11"/>
      <c r="C64" s="11"/>
      <c r="D64" s="12"/>
      <c r="E64" s="12"/>
      <c r="F64" s="12"/>
      <c r="G64" s="12"/>
      <c r="H64" s="12"/>
      <c r="I64" s="9"/>
    </row>
  </sheetData>
  <mergeCells count="31">
    <mergeCell ref="A38:G38"/>
    <mergeCell ref="A9:I9"/>
    <mergeCell ref="A11:H11"/>
    <mergeCell ref="A21:H21"/>
    <mergeCell ref="A28:H28"/>
    <mergeCell ref="D29:G29"/>
    <mergeCell ref="D30:G30"/>
    <mergeCell ref="D31:G31"/>
    <mergeCell ref="D32:G32"/>
    <mergeCell ref="A35:G35"/>
    <mergeCell ref="A36:G36"/>
    <mergeCell ref="A37:G37"/>
    <mergeCell ref="D53:G53"/>
    <mergeCell ref="A39:G39"/>
    <mergeCell ref="A40:G40"/>
    <mergeCell ref="A42:H42"/>
    <mergeCell ref="D43:F43"/>
    <mergeCell ref="D44:F44"/>
    <mergeCell ref="D48:F48"/>
    <mergeCell ref="D49:F49"/>
    <mergeCell ref="A52:H52"/>
    <mergeCell ref="D47:F47"/>
    <mergeCell ref="D45:F45"/>
    <mergeCell ref="D46:F46"/>
    <mergeCell ref="A63:G63"/>
    <mergeCell ref="D54:G54"/>
    <mergeCell ref="D55:G55"/>
    <mergeCell ref="D56:G56"/>
    <mergeCell ref="A59:G59"/>
    <mergeCell ref="A60:G60"/>
    <mergeCell ref="A62:G62"/>
  </mergeCells>
  <pageMargins left="1" right="0.5" top="0.35" bottom="0.5" header="0.35" footer="0.35"/>
  <pageSetup paperSize="17" scale="61" orientation="landscape" r:id="rId1"/>
  <headerFooter>
    <oddFooter>&amp;L&amp;9&amp;F&amp;R&amp;9Page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Cost Est Steel - 10-03-2013</vt:lpstr>
      <vt:lpstr>'Cost Est Steel - 10-03-2013'!Print_Area</vt:lpstr>
    </vt:vector>
  </TitlesOfParts>
  <Company>Burns &amp; McDonnell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Mestad</dc:creator>
  <cp:lastModifiedBy>Sebolt, Josh</cp:lastModifiedBy>
  <cp:lastPrinted>2018-05-03T18:13:26Z</cp:lastPrinted>
  <dcterms:created xsi:type="dcterms:W3CDTF">2012-07-13T21:04:00Z</dcterms:created>
  <dcterms:modified xsi:type="dcterms:W3CDTF">2018-07-04T23:13:50Z</dcterms:modified>
</cp:coreProperties>
</file>